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KONKURSY\OŚ 3\3.3.3 e\GRANTY\DOKUMENTACJA PO UWAGACH 05.11.2018\AUDYT 24 X\"/>
    </mc:Choice>
  </mc:AlternateContent>
  <bookViews>
    <workbookView xWindow="0" yWindow="0" windowWidth="28800" windowHeight="11835" tabRatio="594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52511"/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92" i="12" s="1"/>
  <c r="D21" i="7"/>
  <c r="D20" i="7"/>
  <c r="D19" i="7"/>
  <c r="D11" i="7"/>
  <c r="D44" i="12" s="1"/>
  <c r="D16" i="7"/>
  <c r="D15" i="7"/>
  <c r="D13" i="7"/>
  <c r="D12" i="7"/>
  <c r="D14" i="7"/>
  <c r="D91" i="12" s="1"/>
  <c r="E39" i="14"/>
  <c r="E34" i="14"/>
  <c r="D85" i="12"/>
  <c r="C67" i="12"/>
  <c r="D18" i="12"/>
  <c r="D19" i="12" s="1"/>
  <c r="C27" i="12"/>
  <c r="G36" i="14"/>
  <c r="E36" i="14"/>
  <c r="C26" i="12"/>
  <c r="E38" i="14"/>
  <c r="D68" i="12" s="1"/>
  <c r="E37" i="14"/>
  <c r="D93" i="12" l="1"/>
  <c r="D71" i="12"/>
  <c r="D22" i="12"/>
  <c r="D23" i="12" s="1"/>
  <c r="D5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M12" i="6"/>
  <c r="R12" i="6" s="1"/>
  <c r="L12" i="6"/>
  <c r="M17" i="6" s="1"/>
  <c r="M11" i="6"/>
  <c r="R11" i="6" s="1"/>
  <c r="L11" i="6"/>
  <c r="M16" i="6" s="1"/>
  <c r="R6" i="6"/>
  <c r="N6" i="6"/>
  <c r="N5" i="6"/>
  <c r="M23" i="6" l="1"/>
  <c r="M29" i="6" s="1"/>
  <c r="N11" i="6"/>
  <c r="N12" i="6"/>
  <c r="M22" i="6"/>
  <c r="M28" i="6" s="1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8" i="8"/>
  <c r="M28" i="8" s="1"/>
  <c r="N28" i="8" s="1"/>
  <c r="L23" i="8"/>
  <c r="M23" i="8" s="1"/>
  <c r="N23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J17" i="8" l="1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50" i="12" l="1"/>
  <c r="D55" i="12"/>
  <c r="F55" i="12" s="1"/>
  <c r="D56" i="12"/>
  <c r="F56" i="12" s="1"/>
  <c r="D99" i="12"/>
  <c r="D48" i="12"/>
  <c r="D52" i="12" s="1"/>
  <c r="D51" i="12"/>
  <c r="D97" i="12"/>
  <c r="D96" i="12" s="1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>
  <authors>
    <author>Użytkownik systemu Windows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<sst xmlns="http://schemas.openxmlformats.org/spreadsheetml/2006/main" count="582" uniqueCount="364">
  <si>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</si>
  <si>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</si>
  <si>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</si>
  <si>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</si>
  <si>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</si>
  <si>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</si>
  <si>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</si>
  <si>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</si>
  <si>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</si>
  <si>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</si>
  <si>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</si>
  <si>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</si>
  <si>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</si>
  <si>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</si>
  <si>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</si>
  <si>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</si>
  <si>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</si>
  <si>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</si>
  <si>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</si>
  <si>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</si>
  <si>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</si>
  <si>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</si>
  <si>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</si>
  <si>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</si>
  <si>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</si>
  <si>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</si>
  <si>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</si>
  <si>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</si>
  <si>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</si>
  <si>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</si>
  <si>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</si>
  <si>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</si>
  <si>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</si>
  <si>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</si>
  <si>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</si>
  <si>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</si>
  <si>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</si>
  <si>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</si>
  <si>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</si>
  <si>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</si>
  <si>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</si>
  <si>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</si>
  <si>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</si>
  <si>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</si>
  <si>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</si>
  <si>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</si>
  <si>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</si>
  <si>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</si>
  <si>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</si>
  <si>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</si>
  <si>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</si>
  <si>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</si>
  <si>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</si>
  <si>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</si>
  <si>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</si>
  <si>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</si>
  <si>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</si>
  <si>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</si>
  <si>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</si>
  <si>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</si>
  <si>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</si>
  <si>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</si>
  <si>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</si>
  <si>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</si>
  <si>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</si>
  <si>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</si>
  <si>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</si>
  <si>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</si>
  <si>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</si>
  <si>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</si>
  <si>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</si>
  <si>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</si>
  <si>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</si>
  <si>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</si>
  <si>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</si>
  <si>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</si>
  <si>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</si>
  <si>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</si>
  <si>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</si>
  <si>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</si>
  <si>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</si>
  <si>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</si>
  <si>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</si>
  <si>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</si>
  <si>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</si>
  <si>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</si>
  <si>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</si>
  <si>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</si>
  <si>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</si>
  <si>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</si>
  <si>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</si>
  <si>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</si>
  <si>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</si>
  <si>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</si>
  <si>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</si>
  <si>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</si>
  <si>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</si>
  <si>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</si>
  <si>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</si>
  <si>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</si>
  <si>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</si>
  <si>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</si>
  <si>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</si>
  <si>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</si>
  <si>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</si>
  <si>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</si>
  <si>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</si>
  <si>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</si>
  <si>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</si>
  <si>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</si>
  <si>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</si>
  <si>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</si>
  <si>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</si>
  <si>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</si>
  <si>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</si>
  <si>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</si>
  <si>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</si>
  <si>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</si>
  <si>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</si>
  <si>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</si>
  <si>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</si>
  <si>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</si>
  <si>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</si>
  <si>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</si>
  <si>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</si>
  <si>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</si>
  <si>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</si>
  <si>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</si>
  <si>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</si>
  <si>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</si>
  <si>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</si>
  <si>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</si>
  <si>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</si>
  <si>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</si>
  <si>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</si>
  <si>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</si>
  <si>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</si>
  <si>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</si>
  <si>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</si>
  <si>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</si>
  <si>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</si>
  <si>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</si>
  <si>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</si>
  <si>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</si>
  <si>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</si>
  <si>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</si>
  <si>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</si>
  <si>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</si>
  <si>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</si>
  <si>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</si>
  <si>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</si>
  <si>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</si>
  <si>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</si>
  <si>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</si>
  <si>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</si>
  <si>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</si>
  <si>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</si>
  <si>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</si>
  <si>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</si>
  <si>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</si>
  <si>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</si>
  <si>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</si>
  <si>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</si>
  <si>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</si>
  <si>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</si>
  <si>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</si>
  <si>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</si>
  <si>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</si>
  <si>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</si>
  <si>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</si>
  <si>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</si>
  <si>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</si>
  <si>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</si>
  <si>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</si>
  <si>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</si>
  <si>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1mp drewna=0,65m3=605kg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</si>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</sst>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22" fillId="0" borderId="0" xfId="0" applyFont="1"/>
    <xf numFmtId="0" fontId="2" fillId="0" borderId="0" xfId="0" applyFont="1" applyProtection="1">
      <protection locked="0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zoomScale="85" zoomScaleNormal="85" workbookViewId="0">
      <selection activeCell="B2" sqref="B2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62" customWidth="1"/>
    <col min="11" max="11" width="17.125" style="162" customWidth="1"/>
    <col min="12" max="12" width="18" style="162" customWidth="1"/>
    <col min="13" max="13" width="16.875" style="162" customWidth="1"/>
    <col min="14" max="14" width="21.5" style="162" customWidth="1"/>
    <col min="15" max="15" width="19.37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49"/>
      <c r="K1" s="49"/>
      <c r="L1" s="49"/>
      <c r="M1" s="49"/>
      <c r="N1" s="49"/>
      <c r="O1" s="60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305</v>
      </c>
      <c r="H2" s="165" t="s">
        <v>306</v>
      </c>
      <c r="I2" s="110"/>
      <c r="J2" s="191"/>
      <c r="K2" s="49"/>
      <c r="L2" s="191"/>
      <c r="M2" s="49"/>
      <c r="N2" s="49"/>
      <c r="O2" s="60"/>
      <c r="P2" s="60"/>
      <c r="Y2" s="60"/>
      <c r="Z2" s="60"/>
    </row>
    <row r="3" spans="1:30" ht="15">
      <c r="A3" s="44"/>
      <c r="B3" s="128" t="s">
        <v>238</v>
      </c>
      <c r="C3" s="108"/>
      <c r="D3" s="64" t="s">
        <v>154</v>
      </c>
      <c r="E3" s="110"/>
      <c r="F3" s="110"/>
      <c r="G3" s="166" t="s">
        <v>295</v>
      </c>
      <c r="H3" s="167">
        <v>650</v>
      </c>
      <c r="I3" s="110"/>
      <c r="J3" s="49"/>
      <c r="K3" s="49"/>
      <c r="L3" s="191"/>
      <c r="M3" s="49"/>
      <c r="N3" s="49"/>
      <c r="O3" s="60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296</v>
      </c>
      <c r="H4" s="167">
        <v>730</v>
      </c>
      <c r="I4" s="110"/>
      <c r="J4" s="49"/>
      <c r="K4" s="49"/>
      <c r="L4" s="49"/>
      <c r="M4" s="49"/>
      <c r="N4" s="49"/>
      <c r="O4" s="60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297</v>
      </c>
      <c r="H5" s="167">
        <v>710</v>
      </c>
      <c r="I5" s="73"/>
      <c r="J5" s="49"/>
      <c r="K5" s="49"/>
      <c r="L5" s="49"/>
      <c r="M5" s="49"/>
      <c r="N5" s="49"/>
      <c r="O5" s="60"/>
      <c r="P5" s="60"/>
      <c r="Y5" s="60"/>
      <c r="Z5" s="60"/>
    </row>
    <row r="6" spans="1:30" ht="15">
      <c r="A6" s="44"/>
      <c r="B6" s="111" t="s">
        <v>286</v>
      </c>
      <c r="C6" s="83"/>
      <c r="D6" s="89"/>
      <c r="E6" s="73"/>
      <c r="F6" s="73"/>
      <c r="G6" s="166" t="s">
        <v>298</v>
      </c>
      <c r="H6" s="167">
        <v>830</v>
      </c>
      <c r="I6" s="73"/>
      <c r="J6" s="49"/>
      <c r="K6" s="49"/>
      <c r="L6" s="49"/>
      <c r="M6" s="49"/>
      <c r="N6" s="49"/>
      <c r="O6" s="60"/>
      <c r="P6" s="60"/>
      <c r="Y6" s="60"/>
      <c r="Z6" s="60"/>
    </row>
    <row r="7" spans="1:30" ht="15">
      <c r="A7" s="44"/>
      <c r="B7" s="111" t="s">
        <v>287</v>
      </c>
      <c r="C7" s="83"/>
      <c r="D7" s="89"/>
      <c r="E7" s="73"/>
      <c r="F7" s="73"/>
      <c r="G7" s="166" t="s">
        <v>299</v>
      </c>
      <c r="H7" s="167">
        <v>450</v>
      </c>
      <c r="I7" s="73"/>
      <c r="J7" s="49"/>
      <c r="K7" s="49"/>
      <c r="L7" s="49"/>
      <c r="M7" s="49"/>
      <c r="N7" s="49"/>
      <c r="O7" s="60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300</v>
      </c>
      <c r="H8" s="167">
        <v>690</v>
      </c>
      <c r="I8" s="44"/>
      <c r="J8" s="191"/>
      <c r="K8" s="49"/>
      <c r="L8" s="49"/>
      <c r="M8" s="49"/>
      <c r="N8" s="49"/>
      <c r="O8" s="60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301</v>
      </c>
      <c r="H9" s="167">
        <v>530</v>
      </c>
      <c r="I9" s="62"/>
      <c r="J9" s="49"/>
      <c r="K9" s="49"/>
      <c r="L9" s="49"/>
      <c r="M9" s="49"/>
      <c r="N9" s="49"/>
      <c r="O9" s="60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302</v>
      </c>
      <c r="H10" s="167">
        <v>440</v>
      </c>
      <c r="I10" s="62"/>
      <c r="J10" s="49"/>
      <c r="K10" s="49"/>
      <c r="L10" s="49"/>
      <c r="M10" s="49"/>
      <c r="N10" s="49"/>
      <c r="O10" s="60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303</v>
      </c>
      <c r="H11" s="167">
        <v>550</v>
      </c>
      <c r="I11" s="62"/>
      <c r="J11" s="49"/>
    </row>
    <row r="12" spans="1:30" ht="15.75" thickBot="1">
      <c r="A12" s="44"/>
      <c r="B12" s="112" t="s">
        <v>113</v>
      </c>
      <c r="C12" s="90" t="s">
        <v>114</v>
      </c>
      <c r="D12" s="91">
        <v>5</v>
      </c>
      <c r="E12" s="44"/>
      <c r="F12" s="44"/>
      <c r="G12" s="168" t="s">
        <v>304</v>
      </c>
      <c r="H12" s="169">
        <v>470</v>
      </c>
      <c r="I12" s="57"/>
      <c r="J12" s="192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49"/>
      <c r="K13" s="49"/>
      <c r="L13" s="49"/>
      <c r="M13" s="49"/>
      <c r="N13" s="49"/>
      <c r="O13" s="60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49"/>
      <c r="K14" s="49"/>
      <c r="L14" s="49"/>
      <c r="M14" s="49"/>
      <c r="N14" s="49"/>
      <c r="O14" s="60"/>
      <c r="P14" s="60"/>
      <c r="Y14" s="60"/>
      <c r="Z14" s="60"/>
      <c r="AC14" s="60"/>
      <c r="AD14" s="60"/>
    </row>
    <row r="15" spans="1:30" ht="15">
      <c r="A15" s="44"/>
      <c r="B15" s="111" t="s">
        <v>125</v>
      </c>
      <c r="C15" s="83"/>
      <c r="D15" s="96" t="s">
        <v>309</v>
      </c>
      <c r="E15" s="62"/>
      <c r="F15" s="62"/>
      <c r="G15" s="132" t="s">
        <v>229</v>
      </c>
      <c r="H15" s="62"/>
      <c r="I15" s="58"/>
      <c r="K15" s="49"/>
      <c r="M15" s="49"/>
      <c r="N15" s="49"/>
      <c r="O15" s="60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175</v>
      </c>
      <c r="H16" s="44"/>
      <c r="I16" s="58"/>
      <c r="J16" s="195" t="s">
        <v>16</v>
      </c>
      <c r="K16" s="196"/>
      <c r="L16" s="195" t="s">
        <v>132</v>
      </c>
      <c r="M16" s="49"/>
      <c r="N16" s="49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5" t="s">
        <v>134</v>
      </c>
      <c r="K17" s="196"/>
      <c r="L17" s="195" t="s">
        <v>131</v>
      </c>
      <c r="N17" s="49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5" t="s">
        <v>309</v>
      </c>
      <c r="K18" s="188"/>
      <c r="L18" s="195" t="s">
        <v>64</v>
      </c>
      <c r="M18" s="49"/>
      <c r="N18" s="49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7" t="s">
        <v>319</v>
      </c>
      <c r="K19" s="188"/>
      <c r="L19" s="195" t="s">
        <v>323</v>
      </c>
      <c r="N19" s="49"/>
      <c r="O19" s="135"/>
    </row>
    <row r="20" spans="1:30" ht="30">
      <c r="A20" s="44"/>
      <c r="B20" s="66" t="s">
        <v>137</v>
      </c>
      <c r="C20" s="83"/>
      <c r="D20" s="89" t="s">
        <v>323</v>
      </c>
      <c r="E20" s="44"/>
      <c r="F20" s="44"/>
      <c r="G20" s="44"/>
      <c r="H20" s="44"/>
      <c r="I20" s="58"/>
      <c r="J20" s="197" t="s">
        <v>320</v>
      </c>
      <c r="K20" s="188"/>
      <c r="L20" s="195" t="s">
        <v>133</v>
      </c>
      <c r="N20" s="49"/>
      <c r="O20" s="135"/>
    </row>
    <row r="21" spans="1:30" ht="15">
      <c r="A21" s="44"/>
      <c r="B21" s="111" t="s">
        <v>146</v>
      </c>
      <c r="C21" s="83" t="s">
        <v>140</v>
      </c>
      <c r="D21" s="89">
        <v>300</v>
      </c>
      <c r="E21" s="58" t="s">
        <v>258</v>
      </c>
      <c r="F21" s="62"/>
      <c r="G21" s="62"/>
      <c r="H21" s="62"/>
      <c r="I21" s="58"/>
      <c r="J21" s="195" t="s">
        <v>149</v>
      </c>
      <c r="K21" s="196"/>
      <c r="L21" s="195" t="s">
        <v>25</v>
      </c>
      <c r="M21" s="49"/>
      <c r="N21" s="49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4.3336800000000002</v>
      </c>
      <c r="E22" s="62"/>
      <c r="F22" s="62"/>
      <c r="G22" s="62"/>
      <c r="H22" s="62"/>
      <c r="I22" s="58"/>
      <c r="J22" s="195" t="s">
        <v>205</v>
      </c>
      <c r="K22" s="196"/>
      <c r="L22" s="195" t="s">
        <v>252</v>
      </c>
      <c r="M22" s="49"/>
      <c r="N22" s="49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1300.104</v>
      </c>
      <c r="E23" s="62"/>
      <c r="F23" s="62"/>
      <c r="G23" s="62"/>
      <c r="H23" s="62"/>
      <c r="I23" s="58"/>
      <c r="J23" s="195" t="s">
        <v>21</v>
      </c>
      <c r="K23" s="188"/>
      <c r="L23" s="195" t="s">
        <v>167</v>
      </c>
      <c r="N23" s="49"/>
      <c r="O23" s="135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122</v>
      </c>
      <c r="E24" s="58" t="s">
        <v>253</v>
      </c>
      <c r="F24" s="44"/>
      <c r="G24" s="44"/>
      <c r="H24" s="44"/>
      <c r="I24" s="58"/>
      <c r="J24" s="195" t="s">
        <v>228</v>
      </c>
      <c r="K24" s="188"/>
      <c r="L24" s="195" t="s">
        <v>222</v>
      </c>
      <c r="N24" s="49"/>
      <c r="O24" s="135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25</v>
      </c>
      <c r="E25" s="129" t="s">
        <v>339</v>
      </c>
      <c r="F25" s="62"/>
      <c r="G25" s="62"/>
      <c r="H25" s="62"/>
      <c r="I25" s="58"/>
      <c r="J25" s="195" t="s">
        <v>121</v>
      </c>
      <c r="K25" s="188"/>
      <c r="L25" s="188"/>
      <c r="N25" s="49"/>
      <c r="O25" s="135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m3</v>
      </c>
      <c r="D26" s="89">
        <v>200</v>
      </c>
      <c r="E26" s="58" t="s">
        <v>349</v>
      </c>
      <c r="F26" s="62"/>
      <c r="G26" s="62"/>
      <c r="H26" s="62"/>
      <c r="I26" s="58"/>
      <c r="J26" s="195" t="s">
        <v>122</v>
      </c>
      <c r="K26" s="188"/>
      <c r="L26" s="188"/>
      <c r="N26" s="49"/>
      <c r="O26" s="135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kWh/m3</v>
      </c>
      <c r="D27" s="137">
        <f>VLOOKUP(D25,'emisje i wskaźniki'!B34:G41,4,FALSE)</f>
        <v>10.08414</v>
      </c>
      <c r="E27" s="62"/>
      <c r="F27" s="62"/>
      <c r="G27" s="62"/>
      <c r="H27" s="62"/>
      <c r="I27" s="58"/>
      <c r="J27" s="195" t="s">
        <v>17</v>
      </c>
      <c r="K27" s="196"/>
      <c r="L27" s="188" t="s">
        <v>73</v>
      </c>
      <c r="M27" s="172"/>
      <c r="N27" s="172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2016.828</v>
      </c>
      <c r="E28" s="57"/>
      <c r="F28" s="57"/>
      <c r="G28" s="57"/>
      <c r="H28" s="58"/>
      <c r="I28" s="58"/>
      <c r="J28" s="195" t="s">
        <v>18</v>
      </c>
      <c r="K28" s="188"/>
      <c r="L28" s="188" t="s">
        <v>4</v>
      </c>
      <c r="M28" s="172"/>
      <c r="N28" s="172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34805.562000000005</v>
      </c>
      <c r="E29" s="57"/>
      <c r="F29" s="57"/>
      <c r="G29" s="57"/>
      <c r="H29" s="58"/>
      <c r="I29" s="58"/>
      <c r="J29" s="197" t="s">
        <v>22</v>
      </c>
      <c r="K29" s="188"/>
      <c r="L29" s="188" t="s">
        <v>5</v>
      </c>
      <c r="M29" s="172"/>
      <c r="N29" s="172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176</v>
      </c>
      <c r="C30" s="85"/>
      <c r="D30" s="94"/>
      <c r="E30" s="58" t="s">
        <v>225</v>
      </c>
      <c r="G30" s="58"/>
      <c r="H30" s="57"/>
      <c r="I30" s="57"/>
      <c r="J30" s="195" t="s">
        <v>236</v>
      </c>
      <c r="K30" s="188"/>
      <c r="L30" s="188" t="s">
        <v>6</v>
      </c>
      <c r="M30" s="172"/>
      <c r="N30" s="172"/>
      <c r="O30" s="188" t="s">
        <v>313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353</v>
      </c>
      <c r="C31" s="83" t="s">
        <v>115</v>
      </c>
      <c r="D31" s="140">
        <f>ROUND(D12*35*4.2*(55-10)*0.9*365/(1000)/3.6,3)</f>
        <v>3018.0940000000001</v>
      </c>
      <c r="E31" s="58"/>
      <c r="F31" s="58"/>
      <c r="G31" s="58"/>
      <c r="H31" s="59"/>
      <c r="I31" s="59"/>
      <c r="J31" s="195" t="s">
        <v>345</v>
      </c>
      <c r="K31" s="188"/>
      <c r="L31" s="188" t="s">
        <v>7</v>
      </c>
      <c r="M31" s="172"/>
      <c r="N31" s="172"/>
      <c r="O31" s="188" t="s">
        <v>315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237</v>
      </c>
      <c r="C32" s="83"/>
      <c r="D32" s="89" t="s">
        <v>122</v>
      </c>
      <c r="E32" s="58" t="s">
        <v>240</v>
      </c>
      <c r="F32" s="58"/>
      <c r="G32" s="58"/>
      <c r="H32" s="58"/>
      <c r="I32" s="58"/>
      <c r="J32" s="195" t="s">
        <v>328</v>
      </c>
      <c r="K32" s="188"/>
      <c r="L32" s="188" t="s">
        <v>8</v>
      </c>
      <c r="M32" s="172"/>
      <c r="N32" s="172"/>
      <c r="O32" s="188" t="s">
        <v>314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235</v>
      </c>
      <c r="C33" s="83" t="s">
        <v>130</v>
      </c>
      <c r="D33" s="95">
        <v>1</v>
      </c>
      <c r="E33" s="58"/>
      <c r="F33" s="58"/>
      <c r="G33" s="58"/>
      <c r="H33" s="58"/>
      <c r="I33" s="58"/>
      <c r="J33" s="195" t="s">
        <v>326</v>
      </c>
      <c r="K33" s="188"/>
      <c r="L33" s="198" t="s">
        <v>74</v>
      </c>
      <c r="M33" s="172"/>
      <c r="N33" s="172"/>
      <c r="O33" s="188" t="s">
        <v>316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5" t="s">
        <v>327</v>
      </c>
      <c r="K34" s="188"/>
      <c r="L34" s="196"/>
      <c r="N34" s="49"/>
      <c r="O34" s="135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313</v>
      </c>
      <c r="E35" s="58"/>
      <c r="F35" s="58"/>
      <c r="G35" s="58"/>
      <c r="H35" s="58"/>
      <c r="I35" s="58"/>
      <c r="J35" s="195" t="s">
        <v>60</v>
      </c>
      <c r="K35" s="188"/>
      <c r="L35" s="196"/>
      <c r="N35" s="49"/>
      <c r="O35" s="135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354</v>
      </c>
      <c r="C36" s="83" t="s">
        <v>115</v>
      </c>
      <c r="D36" s="140">
        <f>IF(D32="Brak",0,D31*D33/(VLOOKUP(D32,CWU!A34:B51,2,FALSE)*VLOOKUP(D34,CWU!A14:B20,2,FALSE)*VLOOKUP(D35,CWU!A25:B30,2,FALSE)))</f>
        <v>4397.1502458568566</v>
      </c>
      <c r="E36" s="44"/>
      <c r="F36" s="44"/>
      <c r="G36" s="44"/>
      <c r="H36" s="58"/>
      <c r="I36" s="58"/>
      <c r="J36" s="195" t="s">
        <v>61</v>
      </c>
      <c r="K36" s="135"/>
      <c r="L36" s="188"/>
      <c r="N36" s="49"/>
      <c r="O36" s="135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178</v>
      </c>
      <c r="C37" s="83" t="s">
        <v>173</v>
      </c>
      <c r="D37" s="140">
        <f>D36/12</f>
        <v>366.42918715473803</v>
      </c>
      <c r="E37" s="44"/>
      <c r="F37" s="44"/>
      <c r="G37" s="44"/>
      <c r="H37" s="58"/>
      <c r="I37" s="58"/>
      <c r="J37" s="195" t="s">
        <v>322</v>
      </c>
      <c r="K37" s="196"/>
      <c r="L37" s="199" t="s">
        <v>236</v>
      </c>
      <c r="N37" s="49"/>
      <c r="O37" s="135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236</v>
      </c>
      <c r="E38" s="58" t="s">
        <v>241</v>
      </c>
      <c r="F38" s="44"/>
      <c r="G38" s="44"/>
      <c r="H38" s="58"/>
      <c r="I38" s="58"/>
      <c r="J38" s="195" t="s">
        <v>321</v>
      </c>
      <c r="K38" s="135"/>
      <c r="L38" s="199" t="s">
        <v>70</v>
      </c>
      <c r="N38" s="49"/>
      <c r="O38" s="135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5" t="s">
        <v>122</v>
      </c>
      <c r="K39" s="188"/>
      <c r="L39" s="199" t="s">
        <v>71</v>
      </c>
      <c r="N39" s="49"/>
      <c r="O39" s="135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5" t="s">
        <v>18</v>
      </c>
      <c r="K40" s="188"/>
      <c r="L40" s="188"/>
      <c r="N40" s="49"/>
      <c r="O40" s="135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355</v>
      </c>
      <c r="C41" s="83" t="s">
        <v>115</v>
      </c>
      <c r="D41" s="140">
        <f>D36-D40</f>
        <v>4397.1502458568566</v>
      </c>
      <c r="E41" s="58"/>
      <c r="F41" s="44"/>
      <c r="G41" s="44"/>
      <c r="H41" s="44"/>
      <c r="I41" s="44"/>
      <c r="J41" s="195" t="s">
        <v>121</v>
      </c>
      <c r="K41" s="188"/>
      <c r="L41" s="188"/>
      <c r="N41" s="49"/>
      <c r="O41" s="135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275</v>
      </c>
      <c r="C42" s="85"/>
      <c r="D42" s="94"/>
      <c r="E42" s="58"/>
      <c r="F42" s="44"/>
      <c r="G42" s="44"/>
      <c r="H42" s="44"/>
      <c r="I42" s="44"/>
      <c r="J42" s="195" t="s">
        <v>17</v>
      </c>
      <c r="K42" s="188"/>
      <c r="L42" s="135"/>
      <c r="N42" s="49"/>
      <c r="O42" s="135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242</v>
      </c>
      <c r="C43" s="83"/>
      <c r="D43" s="147" t="s">
        <v>119</v>
      </c>
      <c r="E43" s="58" t="s">
        <v>243</v>
      </c>
      <c r="F43" s="44"/>
      <c r="G43" s="44"/>
      <c r="H43" s="44"/>
      <c r="I43" s="58"/>
      <c r="J43" s="195" t="s">
        <v>21</v>
      </c>
      <c r="K43" s="188"/>
      <c r="L43" s="135"/>
      <c r="N43" s="49"/>
      <c r="O43" s="135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1017.0999999999999</v>
      </c>
      <c r="E44" s="58"/>
      <c r="F44" s="44"/>
      <c r="G44" s="44"/>
      <c r="H44" s="44"/>
      <c r="I44" s="58"/>
      <c r="J44" s="195" t="s">
        <v>19</v>
      </c>
      <c r="K44" s="188"/>
      <c r="L44" s="188"/>
      <c r="N44" s="49"/>
      <c r="O44" s="135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191</v>
      </c>
      <c r="C45" s="85"/>
      <c r="D45" s="94"/>
      <c r="E45" s="58"/>
      <c r="F45" s="44"/>
      <c r="G45" s="44"/>
      <c r="H45" s="44"/>
      <c r="I45" s="58"/>
      <c r="J45" s="195" t="s">
        <v>20</v>
      </c>
      <c r="K45" s="188"/>
      <c r="L45" s="188"/>
      <c r="N45" s="49"/>
      <c r="O45" s="135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180</v>
      </c>
      <c r="C46" s="83" t="s">
        <v>181</v>
      </c>
      <c r="D46" s="89">
        <v>2</v>
      </c>
      <c r="E46" s="44"/>
      <c r="F46" s="44"/>
      <c r="G46" s="77"/>
      <c r="H46" s="44"/>
      <c r="I46" s="58"/>
      <c r="J46" s="195" t="s">
        <v>82</v>
      </c>
      <c r="K46" s="188"/>
      <c r="L46" s="135"/>
      <c r="N46" s="49"/>
      <c r="O46" s="135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192</v>
      </c>
      <c r="C47" s="83" t="s">
        <v>140</v>
      </c>
      <c r="D47" s="138">
        <f>D48*0.781</f>
        <v>794.35509999999999</v>
      </c>
      <c r="E47" s="76"/>
      <c r="F47" s="44"/>
      <c r="G47" s="77"/>
      <c r="H47" s="44"/>
      <c r="I47" s="58"/>
      <c r="J47" s="195" t="s">
        <v>83</v>
      </c>
      <c r="K47" s="188"/>
      <c r="L47" s="135"/>
      <c r="N47" s="49"/>
      <c r="O47" s="135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183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1017.0999999999999</v>
      </c>
      <c r="F48" s="44"/>
      <c r="G48" s="76"/>
      <c r="H48" s="44"/>
      <c r="I48" s="58"/>
      <c r="J48" s="195" t="s">
        <v>228</v>
      </c>
      <c r="K48" s="188"/>
      <c r="L48" s="135"/>
      <c r="N48" s="49"/>
      <c r="O48" s="135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182</v>
      </c>
      <c r="C49" s="85"/>
      <c r="D49" s="94"/>
      <c r="E49" s="44"/>
      <c r="F49" s="44"/>
      <c r="G49" s="58"/>
      <c r="H49" s="58"/>
      <c r="I49" s="58"/>
      <c r="J49" s="195" t="s">
        <v>236</v>
      </c>
      <c r="K49" s="188"/>
      <c r="L49" s="135"/>
      <c r="N49" s="49"/>
      <c r="O49" s="135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40219.812245856861</v>
      </c>
      <c r="E50" s="44"/>
      <c r="F50" s="44"/>
      <c r="G50" s="58"/>
      <c r="H50" s="58"/>
      <c r="I50" s="58"/>
      <c r="J50" s="195" t="s">
        <v>219</v>
      </c>
      <c r="K50" s="188"/>
      <c r="L50" s="135"/>
      <c r="N50" s="49"/>
      <c r="O50" s="135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201.0990612292843</v>
      </c>
      <c r="F51" s="44"/>
      <c r="G51" s="76"/>
      <c r="H51" s="58"/>
      <c r="I51" s="58"/>
      <c r="J51" s="197" t="s">
        <v>319</v>
      </c>
      <c r="K51" s="188"/>
      <c r="L51" s="188"/>
      <c r="N51" s="49"/>
      <c r="O51" s="135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209.76444935221272</v>
      </c>
      <c r="E52" s="44"/>
      <c r="F52" s="44"/>
      <c r="G52" s="76"/>
      <c r="H52" s="58"/>
      <c r="I52" s="58"/>
      <c r="J52" s="195" t="s">
        <v>205</v>
      </c>
      <c r="K52" s="188"/>
      <c r="L52" s="188"/>
      <c r="N52" s="49"/>
      <c r="O52" s="13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177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95.405945516608014</v>
      </c>
      <c r="E53" s="44"/>
      <c r="F53" s="44"/>
      <c r="G53" s="44"/>
      <c r="H53" s="58"/>
      <c r="I53" s="58"/>
      <c r="J53" s="195" t="s">
        <v>149</v>
      </c>
      <c r="K53" s="136"/>
      <c r="L53" s="136"/>
      <c r="N53" s="49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199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12028.507787512755</v>
      </c>
      <c r="E54" s="200" t="s">
        <v>362</v>
      </c>
      <c r="F54" s="201">
        <f>D54/1000</f>
        <v>12.028507787512755</v>
      </c>
      <c r="G54" s="44"/>
      <c r="H54" s="44"/>
      <c r="I54" s="44"/>
      <c r="J54" s="49"/>
      <c r="K54" s="49"/>
      <c r="L54" s="49"/>
      <c r="N54" s="49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195</v>
      </c>
      <c r="C55" s="83" t="s">
        <v>200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51297.374359280067</v>
      </c>
      <c r="E55" s="202" t="s">
        <v>363</v>
      </c>
      <c r="F55" s="203">
        <f>D55/1000000</f>
        <v>5.1297374359280071E-2</v>
      </c>
      <c r="G55" s="44"/>
      <c r="H55" s="44"/>
      <c r="I55" s="44"/>
      <c r="J55" s="49"/>
      <c r="K55" s="49"/>
      <c r="L55" s="49"/>
      <c r="N55" s="49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198</v>
      </c>
      <c r="C56" s="90" t="s">
        <v>200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40434.664101448281</v>
      </c>
      <c r="E56" s="204" t="s">
        <v>363</v>
      </c>
      <c r="F56" s="205">
        <f>D56/1000000</f>
        <v>4.0434664101448282E-2</v>
      </c>
      <c r="G56" s="44"/>
      <c r="H56" s="44"/>
      <c r="I56" s="44"/>
      <c r="J56" s="49"/>
      <c r="K56" s="49"/>
      <c r="L56" s="49"/>
      <c r="N56" s="49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49"/>
      <c r="K57" s="49"/>
      <c r="L57" s="49"/>
      <c r="N57" s="4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49"/>
      <c r="K58" s="49"/>
      <c r="L58" s="49"/>
      <c r="N58" s="49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184</v>
      </c>
      <c r="C59" s="87" t="s">
        <v>66</v>
      </c>
      <c r="D59" s="88"/>
      <c r="E59" s="44"/>
      <c r="F59" s="44"/>
      <c r="G59" s="44"/>
      <c r="H59" s="44"/>
      <c r="I59" s="44"/>
      <c r="J59" s="49"/>
      <c r="K59" s="49"/>
      <c r="L59" s="49"/>
      <c r="N59" s="49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185</v>
      </c>
      <c r="C60" s="83"/>
      <c r="D60" s="96" t="s">
        <v>326</v>
      </c>
      <c r="E60" s="208" t="s">
        <v>256</v>
      </c>
      <c r="F60" s="209"/>
      <c r="G60" s="209"/>
      <c r="H60" s="44"/>
      <c r="I60" s="44"/>
      <c r="J60" s="49"/>
      <c r="K60" s="49"/>
      <c r="L60" s="49"/>
      <c r="N60" s="49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341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15045.995103321602</v>
      </c>
      <c r="E61" s="44"/>
      <c r="F61" s="44"/>
      <c r="G61" s="44"/>
      <c r="H61" s="44"/>
      <c r="I61" s="44"/>
      <c r="J61" s="49"/>
      <c r="K61" s="49"/>
      <c r="L61" s="49"/>
      <c r="N61" s="49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356</v>
      </c>
      <c r="C62" s="83"/>
      <c r="D62" s="143">
        <f>VLOOKUP(D60,'emisje i wskaźniki'!B4:D29,2,FALSE)</f>
        <v>2.2052160000000001</v>
      </c>
      <c r="E62" s="44"/>
      <c r="F62" s="44"/>
      <c r="G62" s="44"/>
      <c r="H62" s="44"/>
      <c r="I62" s="44"/>
      <c r="J62" s="49"/>
      <c r="K62" s="49"/>
      <c r="L62" s="49"/>
      <c r="N62" s="49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226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49"/>
      <c r="L63" s="49"/>
      <c r="N63" s="49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346</v>
      </c>
      <c r="C64" s="83"/>
      <c r="D64" s="148" t="s">
        <v>120</v>
      </c>
      <c r="E64" s="57" t="s">
        <v>244</v>
      </c>
      <c r="F64" s="44"/>
      <c r="G64" s="44"/>
      <c r="H64" s="44"/>
      <c r="I64" s="44"/>
      <c r="K64" s="49"/>
      <c r="L64" s="49"/>
      <c r="N64" s="49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236</v>
      </c>
      <c r="E65" s="58" t="s">
        <v>239</v>
      </c>
      <c r="F65" s="44"/>
      <c r="G65" s="44"/>
      <c r="H65" s="44"/>
      <c r="I65" s="44"/>
      <c r="K65" s="49"/>
      <c r="L65" s="49"/>
      <c r="N65" s="49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222</v>
      </c>
      <c r="E66" s="44"/>
      <c r="F66" s="44"/>
      <c r="G66" s="44"/>
      <c r="H66" s="44"/>
      <c r="I66" s="44"/>
      <c r="K66" s="49"/>
      <c r="L66" s="49"/>
      <c r="N66" s="49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100</v>
      </c>
      <c r="E67" s="58" t="s">
        <v>245</v>
      </c>
      <c r="F67" s="44"/>
      <c r="G67" s="44"/>
      <c r="H67" s="44"/>
      <c r="I67" s="44"/>
      <c r="K67" s="49"/>
      <c r="L67" s="49"/>
      <c r="N67" s="49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49"/>
      <c r="L68" s="49"/>
      <c r="N68" s="49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357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49"/>
      <c r="L69" s="49"/>
      <c r="N69" s="49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227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49"/>
      <c r="L70" s="49"/>
      <c r="N70" s="49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49"/>
      <c r="L71" s="49"/>
      <c r="N71" s="49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340</v>
      </c>
      <c r="C72" s="83"/>
      <c r="D72" s="187">
        <f>D71*D69</f>
        <v>0</v>
      </c>
      <c r="E72" s="44"/>
      <c r="F72" s="44"/>
      <c r="G72" s="44"/>
      <c r="H72" s="44"/>
      <c r="I72" s="44"/>
      <c r="K72" s="49"/>
      <c r="L72" s="49"/>
      <c r="N72" s="49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5328.6944116558971</v>
      </c>
      <c r="E73" s="44"/>
      <c r="F73" s="44"/>
      <c r="G73" s="44"/>
      <c r="H73" s="44"/>
      <c r="I73" s="44"/>
      <c r="K73" s="49"/>
      <c r="L73" s="49"/>
      <c r="N73" s="49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186</v>
      </c>
      <c r="C74" s="83" t="s">
        <v>115</v>
      </c>
      <c r="D74" s="144">
        <f>IF(D64="tak",0.9*(D61/D62)+D71,(D61/D62)+D71)</f>
        <v>6822.9121788167695</v>
      </c>
      <c r="E74" s="44"/>
      <c r="F74" s="44"/>
      <c r="G74" s="44"/>
      <c r="H74" s="44"/>
      <c r="I74" s="44"/>
      <c r="K74" s="49"/>
      <c r="L74" s="49"/>
      <c r="N74" s="49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246</v>
      </c>
      <c r="C75" s="85"/>
      <c r="D75" s="94"/>
      <c r="E75" s="58" t="s">
        <v>338</v>
      </c>
      <c r="F75" s="44"/>
      <c r="G75" s="44"/>
      <c r="H75" s="44"/>
      <c r="I75" s="44"/>
      <c r="K75" s="49"/>
      <c r="L75" s="49"/>
      <c r="N75" s="49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353</v>
      </c>
      <c r="C76" s="83" t="s">
        <v>115</v>
      </c>
      <c r="D76" s="145">
        <f>D31</f>
        <v>3018.0940000000001</v>
      </c>
      <c r="E76" s="44"/>
      <c r="F76" s="44"/>
      <c r="G76" s="44"/>
      <c r="H76" s="44"/>
      <c r="I76" s="44"/>
      <c r="K76" s="49"/>
      <c r="L76" s="49"/>
      <c r="N76" s="49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326</v>
      </c>
      <c r="E77" s="58"/>
      <c r="F77" s="44"/>
      <c r="G77" s="44"/>
      <c r="H77" s="44"/>
      <c r="I77" s="44"/>
      <c r="K77" s="49"/>
      <c r="L77" s="49"/>
      <c r="N77" s="49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250</v>
      </c>
      <c r="F78" s="44"/>
      <c r="G78" s="44"/>
      <c r="H78" s="44"/>
      <c r="I78" s="44"/>
      <c r="K78" s="49"/>
      <c r="L78" s="49"/>
      <c r="N78" s="49"/>
      <c r="P78" s="60"/>
    </row>
    <row r="79" spans="1:30" ht="15">
      <c r="A79" s="44"/>
      <c r="B79" s="114" t="s">
        <v>144</v>
      </c>
      <c r="C79" s="83"/>
      <c r="D79" s="96" t="s">
        <v>313</v>
      </c>
      <c r="E79" s="58" t="s">
        <v>250</v>
      </c>
      <c r="F79" s="44"/>
      <c r="G79" s="44"/>
      <c r="H79" s="44"/>
      <c r="I79" s="44"/>
      <c r="K79" s="49"/>
      <c r="L79" s="49"/>
      <c r="N79" s="49"/>
      <c r="P79" s="60"/>
    </row>
    <row r="80" spans="1:30" ht="30">
      <c r="A80" s="44"/>
      <c r="B80" s="69" t="s">
        <v>354</v>
      </c>
      <c r="C80" s="83" t="s">
        <v>168</v>
      </c>
      <c r="D80" s="140">
        <f>D76/(VLOOKUP(D77,CWU!A33:B52,2,FALSE)*VLOOKUP(D78,CWU!A14:B20,2,FALSE)*VLOOKUP(D79,CWU!A25:B30,2,FALSE))</f>
        <v>1437.5298880685878</v>
      </c>
      <c r="E80" s="44"/>
      <c r="F80" s="44"/>
      <c r="G80" s="44"/>
      <c r="H80" s="44"/>
      <c r="I80" s="44"/>
      <c r="K80" s="49"/>
      <c r="L80" s="49"/>
      <c r="N80" s="49"/>
      <c r="P80" s="60"/>
    </row>
    <row r="81" spans="1:16" ht="30">
      <c r="A81" s="44"/>
      <c r="B81" s="69" t="s">
        <v>178</v>
      </c>
      <c r="C81" s="83" t="s">
        <v>173</v>
      </c>
      <c r="D81" s="140">
        <f>D80/12</f>
        <v>119.79415733904898</v>
      </c>
      <c r="E81" s="44"/>
      <c r="F81" s="44"/>
      <c r="G81" s="44"/>
      <c r="H81" s="44"/>
      <c r="I81" s="44"/>
      <c r="K81" s="49"/>
      <c r="L81" s="49"/>
      <c r="N81" s="49"/>
      <c r="P81" s="60"/>
    </row>
    <row r="82" spans="1:16" ht="15">
      <c r="A82" s="44"/>
      <c r="B82" s="114" t="s">
        <v>169</v>
      </c>
      <c r="C82" s="83"/>
      <c r="D82" s="89" t="s">
        <v>71</v>
      </c>
      <c r="E82" s="58" t="s">
        <v>251</v>
      </c>
      <c r="F82" s="44"/>
      <c r="G82" s="44"/>
      <c r="H82" s="44"/>
      <c r="I82" s="44"/>
      <c r="K82" s="49"/>
      <c r="L82" s="49"/>
      <c r="N82" s="49"/>
      <c r="P82" s="60"/>
    </row>
    <row r="83" spans="1:16" ht="15">
      <c r="A83" s="44"/>
      <c r="B83" s="114" t="s">
        <v>170</v>
      </c>
      <c r="C83" s="83" t="s">
        <v>141</v>
      </c>
      <c r="D83" s="89">
        <v>3</v>
      </c>
      <c r="E83" s="44"/>
      <c r="F83" s="44"/>
      <c r="G83" s="44"/>
      <c r="H83" s="44"/>
      <c r="I83" s="44"/>
      <c r="K83" s="49"/>
      <c r="L83" s="49"/>
      <c r="N83" s="49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1123.5591013733429</v>
      </c>
      <c r="E84" s="44"/>
      <c r="F84" s="44"/>
      <c r="G84" s="44"/>
      <c r="H84" s="44"/>
      <c r="I84" s="44"/>
      <c r="K84" s="49"/>
      <c r="L84" s="49"/>
      <c r="N84" s="49"/>
      <c r="P84" s="60"/>
    </row>
    <row r="85" spans="1:16" ht="15">
      <c r="A85" s="44"/>
      <c r="B85" s="66" t="s">
        <v>188</v>
      </c>
      <c r="C85" s="83"/>
      <c r="D85" s="143">
        <f>IF(D77="Brak",0,VLOOKUP(D77,CWU!A34:B52,2,FALSE))</f>
        <v>2.6</v>
      </c>
      <c r="E85" s="44"/>
      <c r="F85" s="44"/>
      <c r="G85" s="44"/>
      <c r="H85" s="44"/>
      <c r="I85" s="44"/>
      <c r="K85" s="49"/>
      <c r="L85" s="49"/>
      <c r="N85" s="49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49"/>
      <c r="L86" s="49"/>
      <c r="N86" s="49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245.21118440898627</v>
      </c>
      <c r="E87" s="44"/>
      <c r="F87" s="44"/>
      <c r="G87" s="44"/>
      <c r="H87" s="44"/>
      <c r="I87" s="44"/>
      <c r="K87" s="49"/>
      <c r="L87" s="49"/>
      <c r="N87" s="49"/>
      <c r="P87" s="60"/>
    </row>
    <row r="88" spans="1:16" ht="30">
      <c r="A88" s="44"/>
      <c r="B88" s="71" t="s">
        <v>355</v>
      </c>
      <c r="C88" s="83" t="s">
        <v>115</v>
      </c>
      <c r="D88" s="140">
        <f>D80-D84</f>
        <v>313.9707866952449</v>
      </c>
      <c r="E88" s="44"/>
      <c r="F88" s="44"/>
      <c r="G88" s="44"/>
      <c r="H88" s="44"/>
      <c r="I88" s="44"/>
    </row>
    <row r="89" spans="1:16" ht="18.75">
      <c r="A89" s="44"/>
      <c r="B89" s="68" t="s">
        <v>247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243</v>
      </c>
      <c r="F90" s="44"/>
      <c r="G90" s="44"/>
      <c r="H90" s="44"/>
      <c r="I90" s="44"/>
    </row>
    <row r="91" spans="1:16" ht="15">
      <c r="A91" s="44"/>
      <c r="B91" s="130" t="s">
        <v>360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894</v>
      </c>
      <c r="E91" s="58"/>
      <c r="F91" s="44"/>
      <c r="G91" s="44"/>
      <c r="H91" s="44"/>
      <c r="I91" s="44"/>
    </row>
    <row r="92" spans="1:16" ht="15">
      <c r="A92" s="44"/>
      <c r="B92" s="130" t="s">
        <v>361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178.4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1072.4000000000001</v>
      </c>
      <c r="E93" s="58"/>
      <c r="F93" s="44"/>
      <c r="G93" s="44"/>
      <c r="H93" s="44"/>
      <c r="I93" s="44"/>
    </row>
    <row r="94" spans="1:16" ht="18.75">
      <c r="A94" s="44"/>
      <c r="B94" s="68" t="s">
        <v>248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180</v>
      </c>
      <c r="C95" s="83" t="s">
        <v>181</v>
      </c>
      <c r="D95" s="89">
        <v>4</v>
      </c>
      <c r="E95" s="44"/>
      <c r="F95" s="44"/>
      <c r="G95" s="44"/>
      <c r="H95" s="44"/>
      <c r="I95" s="44"/>
    </row>
    <row r="96" spans="1:16" ht="15">
      <c r="A96" s="44"/>
      <c r="B96" s="70" t="s">
        <v>192</v>
      </c>
      <c r="C96" s="83" t="s">
        <v>140</v>
      </c>
      <c r="D96" s="138">
        <f>D97*0.781</f>
        <v>2799.1040000000003</v>
      </c>
      <c r="E96" s="44"/>
      <c r="F96" s="44"/>
      <c r="G96" s="44"/>
      <c r="H96" s="44"/>
      <c r="I96" s="44"/>
    </row>
    <row r="97" spans="1:9" ht="15">
      <c r="A97" s="44"/>
      <c r="B97" s="72" t="s">
        <v>183</v>
      </c>
      <c r="C97" s="83" t="s">
        <v>168</v>
      </c>
      <c r="D97" s="138">
        <f>IF(OR(D60=J32,D60=J33,D60=J34),IF(D66="energia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3584</v>
      </c>
      <c r="E97" s="44"/>
      <c r="F97" s="44"/>
      <c r="G97" s="44"/>
      <c r="H97" s="44"/>
      <c r="I97" s="44"/>
    </row>
    <row r="98" spans="1:9" ht="18.75">
      <c r="A98" s="106"/>
      <c r="B98" s="68" t="s">
        <v>249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8209.2829655120149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41.046414827560078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69.379244482680221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177</v>
      </c>
      <c r="C102" s="83" t="s">
        <v>112</v>
      </c>
      <c r="D102" s="140">
        <f>(D61+D72+D76+D93)/D11</f>
        <v>95.682445516608027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3612.3459960648825</v>
      </c>
      <c r="E103" s="200" t="s">
        <v>362</v>
      </c>
      <c r="F103" s="206">
        <f>D103/1000</f>
        <v>3.6123459960648825</v>
      </c>
      <c r="G103" s="44"/>
      <c r="H103" s="44"/>
      <c r="I103" s="44"/>
    </row>
    <row r="104" spans="1:9" ht="18.75" thickBot="1">
      <c r="A104" s="44"/>
      <c r="B104" s="98" t="s">
        <v>189</v>
      </c>
      <c r="C104" s="83" t="s">
        <v>140</v>
      </c>
      <c r="D104" s="146">
        <f>D54-D103</f>
        <v>8416.1617914478738</v>
      </c>
      <c r="E104" s="204" t="s">
        <v>362</v>
      </c>
      <c r="F104" s="207">
        <f>D104/1000</f>
        <v>8.4161617914478732</v>
      </c>
      <c r="G104" s="44"/>
      <c r="H104" s="44"/>
      <c r="I104" s="44"/>
    </row>
    <row r="105" spans="1:9" ht="15.75" thickBot="1">
      <c r="A105" s="44"/>
      <c r="B105" s="105" t="s">
        <v>189</v>
      </c>
      <c r="C105" s="83" t="s">
        <v>130</v>
      </c>
      <c r="D105" s="140">
        <f>D104*100/D54</f>
        <v>69.968461093611353</v>
      </c>
      <c r="E105" s="44"/>
      <c r="F105" s="44"/>
      <c r="G105" s="44"/>
      <c r="H105" s="44"/>
      <c r="I105" s="44"/>
    </row>
    <row r="106" spans="1:9" ht="15">
      <c r="A106" s="44"/>
      <c r="B106" s="98" t="s">
        <v>195</v>
      </c>
      <c r="C106" s="83" t="s">
        <v>200</v>
      </c>
      <c r="D106" s="145">
        <f>(VLOOKUP(D60,'emisje i wskaźniki'!B4:H29,6,FALSE)*D61)+(VLOOKUP(D65,'emisje i wskaźniki'!B4:H29,6,FALSE)*D71)+(VLOOKUP(D77,'emisje i wskaźniki'!B4:H29,6,FALSE)*D88)</f>
        <v>0</v>
      </c>
      <c r="E106" s="200" t="s">
        <v>363</v>
      </c>
      <c r="F106" s="201">
        <f>D106/1000000</f>
        <v>0</v>
      </c>
      <c r="G106" s="44"/>
      <c r="H106" s="44"/>
      <c r="I106" s="44"/>
    </row>
    <row r="107" spans="1:9" ht="15.75" thickBot="1">
      <c r="A107" s="44"/>
      <c r="B107" s="78" t="s">
        <v>198</v>
      </c>
      <c r="C107" s="83" t="s">
        <v>200</v>
      </c>
      <c r="D107" s="145">
        <f>(VLOOKUP(D60,'emisje i wskaźniki'!B4:H29,7,FALSE)*D61)+(VLOOKUP(D65,'emisje i wskaźniki'!B4:H29,7,FALSE)*D71)+(VLOOKUP(D77,'emisje i wskaźniki'!B4:H29,7,FALSE)*D88)</f>
        <v>0</v>
      </c>
      <c r="E107" s="204" t="s">
        <v>363</v>
      </c>
      <c r="F107" s="205">
        <f>D107/1000000</f>
        <v>0</v>
      </c>
      <c r="G107" s="44"/>
      <c r="H107" s="44"/>
      <c r="I107" s="44"/>
    </row>
    <row r="108" spans="1:9" ht="15">
      <c r="A108" s="44"/>
      <c r="B108" s="98" t="s">
        <v>203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204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>
      <formula1>$O$28:$O$33</formula1>
    </dataValidation>
    <dataValidation type="list" allowBlank="1" showInputMessage="1" showErrorMessage="1" prompt="Wybór z listy rozwijalnej" sqref="D78 D34">
      <formula1>$L$27:$L$33</formula1>
    </dataValidation>
    <dataValidation type="list" allowBlank="1" showInputMessage="1" showErrorMessage="1" prompt="Wybór z listy rozwijalnej" sqref="D82 D38">
      <formula1>$L$37:$L$39</formula1>
    </dataValidation>
    <dataValidation type="list" allowBlank="1" showInputMessage="1" showErrorMessage="1" prompt="Wybór z listy rozwijalnej" sqref="D8:D10 D64 D43 D90">
      <formula1>$A$8:$A$9</formula1>
    </dataValidation>
    <dataValidation type="list" allowBlank="1" showInputMessage="1" showErrorMessage="1" prompt="Wybór z listy rozwijalnej" sqref="D77">
      <formula1>$J$33:$J$48</formula1>
    </dataValidation>
    <dataValidation type="list" allowBlank="1" showInputMessage="1" showErrorMessage="1" prompt="Wybór z listy rozwijalnej" sqref="D66">
      <formula1>$L$19:$L$24</formula1>
    </dataValidation>
    <dataValidation type="list" allowBlank="1" showInputMessage="1" showErrorMessage="1" prompt="Wybór z listy rozwijalnej" sqref="D65">
      <formula1>$J$21:$J$30</formula1>
    </dataValidation>
    <dataValidation type="list" allowBlank="1" showInputMessage="1" showErrorMessage="1" prompt="Wybór z listy rozwijalnej" sqref="D60">
      <formula1>$J$31:$J$40</formula1>
    </dataValidation>
    <dataValidation type="list" allowBlank="1" showInputMessage="1" showErrorMessage="1" prompt="Wybór z listy rozwijalnej" sqref="D32">
      <formula1>$J$37:$J$49</formula1>
    </dataValidation>
    <dataValidation type="list" allowBlank="1" showInputMessage="1" showErrorMessage="1" prompt="Wybór z listy rozwijalnej" sqref="D15">
      <formula1>$J$17:$J$21</formula1>
    </dataValidation>
    <dataValidation type="list" allowBlank="1" showInputMessage="1" showErrorMessage="1" prompt="Wybór z listy rozwijalnej" sqref="D20 D16">
      <formula1>$L$17:$L$19</formula1>
    </dataValidation>
    <dataValidation type="list" allowBlank="1" showInputMessage="1" showErrorMessage="1" prompt="Wybór z listy rozwijalnej" sqref="D25">
      <formula1>$L$17:$L$24</formula1>
    </dataValidation>
    <dataValidation type="list" allowBlank="1" showInputMessage="1" showErrorMessage="1" prompt="Wybór z listy rozwijalnej" sqref="D24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288</v>
      </c>
      <c r="B2" s="60"/>
      <c r="C2" s="60"/>
    </row>
    <row r="3" spans="1:3" ht="18" customHeight="1">
      <c r="A3" s="150" t="s">
        <v>289</v>
      </c>
      <c r="B3" s="60"/>
      <c r="C3" s="60"/>
    </row>
    <row r="4" spans="1:3" ht="15">
      <c r="A4" s="60" t="s">
        <v>282</v>
      </c>
      <c r="B4" s="60" t="s">
        <v>283</v>
      </c>
      <c r="C4" s="60"/>
    </row>
    <row r="5" spans="1:3" ht="15">
      <c r="A5" s="16" t="s">
        <v>284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313</v>
      </c>
      <c r="B27" s="152">
        <v>0.85</v>
      </c>
      <c r="C27" s="60"/>
    </row>
    <row r="28" spans="1:3" ht="15">
      <c r="A28" s="116" t="s">
        <v>315</v>
      </c>
      <c r="B28" s="152">
        <v>0.8</v>
      </c>
      <c r="C28" s="60"/>
    </row>
    <row r="29" spans="1:3" ht="15">
      <c r="A29" s="116" t="s">
        <v>314</v>
      </c>
      <c r="B29" s="152">
        <v>0.65</v>
      </c>
      <c r="C29" s="60"/>
    </row>
    <row r="30" spans="1:3" ht="15">
      <c r="A30" s="116" t="s">
        <v>316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322</v>
      </c>
      <c r="B34" s="151">
        <v>0.8</v>
      </c>
      <c r="C34" s="60"/>
    </row>
    <row r="35" spans="1:4" ht="15">
      <c r="A35" s="116" t="s">
        <v>321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337</v>
      </c>
    </row>
    <row r="37" spans="1:4" ht="15">
      <c r="A37" s="116" t="s">
        <v>60</v>
      </c>
      <c r="B37" s="151">
        <v>0.98</v>
      </c>
      <c r="C37" s="60"/>
      <c r="D37" s="60" t="s">
        <v>337</v>
      </c>
    </row>
    <row r="38" spans="1:4" ht="15">
      <c r="A38" s="116" t="s">
        <v>309</v>
      </c>
      <c r="B38" s="151">
        <v>0.4</v>
      </c>
      <c r="C38" s="60"/>
    </row>
    <row r="39" spans="1:4" ht="30">
      <c r="A39" s="117" t="s">
        <v>319</v>
      </c>
      <c r="B39" s="151">
        <v>0.65</v>
      </c>
      <c r="C39" s="60"/>
    </row>
    <row r="40" spans="1:4" ht="15">
      <c r="A40" s="116" t="s">
        <v>228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327</v>
      </c>
      <c r="B50" s="151">
        <v>3</v>
      </c>
      <c r="C50" s="60"/>
      <c r="D50" s="60" t="s">
        <v>336</v>
      </c>
    </row>
    <row r="51" spans="1:4" ht="15">
      <c r="A51" s="116" t="s">
        <v>326</v>
      </c>
      <c r="B51" s="151">
        <v>2.6</v>
      </c>
      <c r="C51" s="60"/>
      <c r="D51" s="60" t="s">
        <v>336</v>
      </c>
    </row>
    <row r="52" spans="1:4" ht="15">
      <c r="A52" s="74" t="s">
        <v>236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254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255</v>
      </c>
      <c r="B1" s="60"/>
      <c r="C1" s="60"/>
      <c r="D1" s="60"/>
      <c r="E1" s="60"/>
      <c r="F1" s="60"/>
    </row>
    <row r="2" spans="1:12" ht="15">
      <c r="A2" s="60" t="s">
        <v>279</v>
      </c>
      <c r="B2" s="60"/>
      <c r="C2" s="60"/>
      <c r="D2" s="60"/>
      <c r="E2" s="60"/>
      <c r="F2" s="60"/>
    </row>
    <row r="3" spans="1:12" ht="15">
      <c r="A3" s="60" t="s">
        <v>276</v>
      </c>
      <c r="B3" s="60"/>
      <c r="C3" s="60"/>
      <c r="D3" s="60"/>
      <c r="E3" s="60"/>
      <c r="F3" s="60"/>
    </row>
    <row r="4" spans="1:12" ht="15">
      <c r="A4" s="60" t="s">
        <v>281</v>
      </c>
      <c r="B4" s="60"/>
      <c r="C4" s="60"/>
      <c r="D4" s="60"/>
      <c r="E4" s="60"/>
      <c r="F4" s="60"/>
    </row>
    <row r="5" spans="1:12" ht="15">
      <c r="A5" s="150" t="s">
        <v>280</v>
      </c>
      <c r="B5" s="60"/>
      <c r="C5" s="60"/>
      <c r="D5" s="60"/>
      <c r="E5" s="60"/>
      <c r="F5" s="60"/>
    </row>
    <row r="6" spans="1:12" ht="15">
      <c r="A6" s="150" t="s">
        <v>317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318</v>
      </c>
      <c r="B8" s="60" t="s">
        <v>278</v>
      </c>
      <c r="C8" s="60" t="s">
        <v>277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259</v>
      </c>
      <c r="B10" s="154" t="s">
        <v>260</v>
      </c>
      <c r="C10" s="154" t="s">
        <v>261</v>
      </c>
      <c r="D10" s="45" t="s">
        <v>274</v>
      </c>
      <c r="F10" s="60"/>
      <c r="H10" s="60"/>
      <c r="I10" s="60"/>
      <c r="J10" s="60"/>
      <c r="K10" s="60"/>
      <c r="L10" s="60"/>
    </row>
    <row r="11" spans="1:12" ht="30">
      <c r="A11" s="119" t="s">
        <v>358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263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264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262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265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266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267</v>
      </c>
      <c r="B18" s="154" t="s">
        <v>260</v>
      </c>
      <c r="C18" s="154" t="s">
        <v>261</v>
      </c>
      <c r="D18" s="45" t="s">
        <v>274</v>
      </c>
      <c r="F18" s="60"/>
    </row>
    <row r="19" spans="1:6" ht="15">
      <c r="A19" s="119" t="s">
        <v>359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268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269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270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271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272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273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285</v>
      </c>
    </row>
    <row r="3" spans="1:14" s="118" customFormat="1" ht="45">
      <c r="A3" s="193" t="s">
        <v>68</v>
      </c>
      <c r="B3" s="193" t="s">
        <v>69</v>
      </c>
      <c r="C3" s="193" t="s">
        <v>70</v>
      </c>
      <c r="D3" s="193" t="s">
        <v>71</v>
      </c>
      <c r="E3" s="193" t="s">
        <v>174</v>
      </c>
      <c r="F3" s="193" t="s">
        <v>351</v>
      </c>
      <c r="G3" s="193" t="s">
        <v>172</v>
      </c>
      <c r="H3" s="193" t="s">
        <v>350</v>
      </c>
      <c r="I3" s="193"/>
      <c r="J3" s="193" t="s">
        <v>70</v>
      </c>
      <c r="K3" s="193" t="s">
        <v>352</v>
      </c>
      <c r="L3" s="193"/>
      <c r="M3" s="193"/>
      <c r="N3" s="193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366.42918715473803</v>
      </c>
      <c r="H4" s="75">
        <f>G4-F4</f>
        <v>366.42918715473803</v>
      </c>
      <c r="I4" s="75">
        <f>COUNTIFS(H4,"&gt;0")</f>
        <v>1</v>
      </c>
      <c r="J4" s="75">
        <f>H4*I4</f>
        <v>366.42918715473803</v>
      </c>
      <c r="K4" s="75">
        <f>D4*E4</f>
        <v>0</v>
      </c>
      <c r="L4" s="75">
        <f>G4-K4</f>
        <v>366.42918715473803</v>
      </c>
      <c r="M4" s="75">
        <f>COUNTIFS(L4,"&gt;0")</f>
        <v>1</v>
      </c>
      <c r="N4" s="75">
        <f>L4*M4</f>
        <v>366.42918715473803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366.42918715473803</v>
      </c>
      <c r="H5" s="75">
        <f>G5-F5</f>
        <v>366.42918715473803</v>
      </c>
      <c r="I5" s="75">
        <f t="shared" ref="I5:I15" si="1">COUNTIFS(H5,"&gt;0")</f>
        <v>1</v>
      </c>
      <c r="J5" s="75">
        <f t="shared" ref="J5:J15" si="2">H5*I5</f>
        <v>366.42918715473803</v>
      </c>
      <c r="K5" s="75">
        <f t="shared" ref="K5:K15" si="3">D5*E5</f>
        <v>0</v>
      </c>
      <c r="L5" s="75">
        <f t="shared" ref="L5:L15" si="4">G5-K5</f>
        <v>366.42918715473803</v>
      </c>
      <c r="M5" s="75">
        <f t="shared" ref="M5:M15" si="5">COUNTIFS(L5,"&gt;0")</f>
        <v>1</v>
      </c>
      <c r="N5" s="75">
        <f t="shared" ref="N5:N15" si="6">L5*M5</f>
        <v>366.42918715473803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366.42918715473803</v>
      </c>
      <c r="H6" s="75">
        <f t="shared" ref="H6:H15" si="7">G6-F6</f>
        <v>366.42918715473803</v>
      </c>
      <c r="I6" s="75">
        <f t="shared" si="1"/>
        <v>1</v>
      </c>
      <c r="J6" s="75">
        <f t="shared" si="2"/>
        <v>366.42918715473803</v>
      </c>
      <c r="K6" s="75">
        <f t="shared" si="3"/>
        <v>0</v>
      </c>
      <c r="L6" s="75">
        <f t="shared" si="4"/>
        <v>366.42918715473803</v>
      </c>
      <c r="M6" s="75">
        <f t="shared" si="5"/>
        <v>1</v>
      </c>
      <c r="N6" s="75">
        <f t="shared" si="6"/>
        <v>366.42918715473803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366.42918715473803</v>
      </c>
      <c r="H7" s="75">
        <f t="shared" si="7"/>
        <v>366.42918715473803</v>
      </c>
      <c r="I7" s="75">
        <f t="shared" si="1"/>
        <v>1</v>
      </c>
      <c r="J7" s="75">
        <f t="shared" si="2"/>
        <v>366.42918715473803</v>
      </c>
      <c r="K7" s="75">
        <f t="shared" si="3"/>
        <v>0</v>
      </c>
      <c r="L7" s="75">
        <f t="shared" si="4"/>
        <v>366.42918715473803</v>
      </c>
      <c r="M7" s="75">
        <f t="shared" si="5"/>
        <v>1</v>
      </c>
      <c r="N7" s="75">
        <f t="shared" si="6"/>
        <v>366.42918715473803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366.42918715473803</v>
      </c>
      <c r="H8" s="75">
        <f t="shared" si="7"/>
        <v>366.42918715473803</v>
      </c>
      <c r="I8" s="75">
        <f t="shared" si="1"/>
        <v>1</v>
      </c>
      <c r="J8" s="75">
        <f t="shared" si="2"/>
        <v>366.42918715473803</v>
      </c>
      <c r="K8" s="75">
        <f t="shared" si="3"/>
        <v>0</v>
      </c>
      <c r="L8" s="75">
        <f t="shared" si="4"/>
        <v>366.42918715473803</v>
      </c>
      <c r="M8" s="75">
        <f t="shared" si="5"/>
        <v>1</v>
      </c>
      <c r="N8" s="75">
        <f t="shared" si="6"/>
        <v>366.42918715473803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366.42918715473803</v>
      </c>
      <c r="H9" s="75">
        <f t="shared" si="7"/>
        <v>366.42918715473803</v>
      </c>
      <c r="I9" s="75">
        <f t="shared" si="1"/>
        <v>1</v>
      </c>
      <c r="J9" s="75">
        <f t="shared" si="2"/>
        <v>366.42918715473803</v>
      </c>
      <c r="K9" s="75">
        <f t="shared" si="3"/>
        <v>0</v>
      </c>
      <c r="L9" s="75">
        <f t="shared" si="4"/>
        <v>366.42918715473803</v>
      </c>
      <c r="M9" s="75">
        <f t="shared" si="5"/>
        <v>1</v>
      </c>
      <c r="N9" s="75">
        <f t="shared" si="6"/>
        <v>366.42918715473803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366.42918715473803</v>
      </c>
      <c r="H10" s="75">
        <f t="shared" si="7"/>
        <v>366.42918715473803</v>
      </c>
      <c r="I10" s="75">
        <f t="shared" si="1"/>
        <v>1</v>
      </c>
      <c r="J10" s="75">
        <f t="shared" si="2"/>
        <v>366.42918715473803</v>
      </c>
      <c r="K10" s="75">
        <f t="shared" si="3"/>
        <v>0</v>
      </c>
      <c r="L10" s="75">
        <f t="shared" si="4"/>
        <v>366.42918715473803</v>
      </c>
      <c r="M10" s="75">
        <f t="shared" si="5"/>
        <v>1</v>
      </c>
      <c r="N10" s="75">
        <f t="shared" si="6"/>
        <v>366.42918715473803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366.42918715473803</v>
      </c>
      <c r="H11" s="75">
        <f t="shared" si="7"/>
        <v>366.42918715473803</v>
      </c>
      <c r="I11" s="75">
        <f t="shared" si="1"/>
        <v>1</v>
      </c>
      <c r="J11" s="75">
        <f t="shared" si="2"/>
        <v>366.42918715473803</v>
      </c>
      <c r="K11" s="75">
        <f t="shared" si="3"/>
        <v>0</v>
      </c>
      <c r="L11" s="75">
        <f t="shared" si="4"/>
        <v>366.42918715473803</v>
      </c>
      <c r="M11" s="75">
        <f t="shared" si="5"/>
        <v>1</v>
      </c>
      <c r="N11" s="75">
        <f t="shared" si="6"/>
        <v>366.42918715473803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366.42918715473803</v>
      </c>
      <c r="H12" s="75">
        <f t="shared" si="7"/>
        <v>366.42918715473803</v>
      </c>
      <c r="I12" s="75">
        <f t="shared" si="1"/>
        <v>1</v>
      </c>
      <c r="J12" s="75">
        <f t="shared" si="2"/>
        <v>366.42918715473803</v>
      </c>
      <c r="K12" s="75">
        <f t="shared" si="3"/>
        <v>0</v>
      </c>
      <c r="L12" s="75">
        <f t="shared" si="4"/>
        <v>366.42918715473803</v>
      </c>
      <c r="M12" s="75">
        <f t="shared" si="5"/>
        <v>1</v>
      </c>
      <c r="N12" s="75">
        <f t="shared" si="6"/>
        <v>366.42918715473803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366.42918715473803</v>
      </c>
      <c r="H13" s="75">
        <f t="shared" si="7"/>
        <v>366.42918715473803</v>
      </c>
      <c r="I13" s="75">
        <f t="shared" si="1"/>
        <v>1</v>
      </c>
      <c r="J13" s="75">
        <f t="shared" si="2"/>
        <v>366.42918715473803</v>
      </c>
      <c r="K13" s="75">
        <f t="shared" si="3"/>
        <v>0</v>
      </c>
      <c r="L13" s="75">
        <f t="shared" si="4"/>
        <v>366.42918715473803</v>
      </c>
      <c r="M13" s="75">
        <f t="shared" si="5"/>
        <v>1</v>
      </c>
      <c r="N13" s="75">
        <f t="shared" si="6"/>
        <v>366.42918715473803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366.42918715473803</v>
      </c>
      <c r="H14" s="75">
        <f t="shared" si="7"/>
        <v>366.42918715473803</v>
      </c>
      <c r="I14" s="75">
        <f t="shared" si="1"/>
        <v>1</v>
      </c>
      <c r="J14" s="75">
        <f t="shared" si="2"/>
        <v>366.42918715473803</v>
      </c>
      <c r="K14" s="75">
        <f t="shared" si="3"/>
        <v>0</v>
      </c>
      <c r="L14" s="75">
        <f t="shared" si="4"/>
        <v>366.42918715473803</v>
      </c>
      <c r="M14" s="75">
        <f t="shared" si="5"/>
        <v>1</v>
      </c>
      <c r="N14" s="75">
        <f t="shared" si="6"/>
        <v>366.42918715473803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366.42918715473803</v>
      </c>
      <c r="H15" s="75">
        <f t="shared" si="7"/>
        <v>366.42918715473803</v>
      </c>
      <c r="I15" s="75">
        <f t="shared" si="1"/>
        <v>1</v>
      </c>
      <c r="J15" s="75">
        <f t="shared" si="2"/>
        <v>366.42918715473803</v>
      </c>
      <c r="K15" s="75">
        <f t="shared" si="3"/>
        <v>0</v>
      </c>
      <c r="L15" s="75">
        <f t="shared" si="4"/>
        <v>366.42918715473803</v>
      </c>
      <c r="M15" s="75">
        <f t="shared" si="5"/>
        <v>1</v>
      </c>
      <c r="N15" s="75">
        <f t="shared" si="6"/>
        <v>366.42918715473803</v>
      </c>
    </row>
    <row r="17" spans="1:14">
      <c r="F17" s="60">
        <f>SUM(F4:F15)</f>
        <v>0</v>
      </c>
      <c r="G17" s="60">
        <f>SUM(G4:G15)</f>
        <v>4397.1502458568566</v>
      </c>
      <c r="J17" s="60">
        <f>SUM(J4:J15)</f>
        <v>4397.1502458568566</v>
      </c>
      <c r="K17" s="60">
        <f>SUM(K4:K15)</f>
        <v>0</v>
      </c>
      <c r="N17" s="60">
        <f>SUM(N4:N15)</f>
        <v>4397.1502458568566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3</v>
      </c>
      <c r="F21" s="75">
        <f>C21*E21</f>
        <v>25.200000000000003</v>
      </c>
      <c r="G21" s="75">
        <f>obliczenia!D81</f>
        <v>119.79415733904898</v>
      </c>
      <c r="H21" s="75">
        <f>G21-F21</f>
        <v>94.594157339048976</v>
      </c>
      <c r="I21" s="75">
        <f>COUNTIFS(H21,"&gt;0")</f>
        <v>1</v>
      </c>
      <c r="J21" s="75">
        <f>H21*I21</f>
        <v>94.594157339048976</v>
      </c>
      <c r="K21" s="75">
        <f>D21*E21</f>
        <v>42</v>
      </c>
      <c r="L21" s="75">
        <f>G21-K21</f>
        <v>77.794157339048979</v>
      </c>
      <c r="M21" s="75">
        <f>COUNTIFS(L21,"&gt;0")</f>
        <v>1</v>
      </c>
      <c r="N21" s="75">
        <f>L21*M21</f>
        <v>77.794157339048979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3</v>
      </c>
      <c r="F22" s="75">
        <f t="shared" ref="F22:F32" si="8">C22*E22</f>
        <v>43.2</v>
      </c>
      <c r="G22" s="75">
        <f>obliczenia!D81</f>
        <v>119.79415733904898</v>
      </c>
      <c r="H22" s="75">
        <f>G22-F22</f>
        <v>76.594157339048976</v>
      </c>
      <c r="I22" s="75">
        <f t="shared" ref="I22:I32" si="9">COUNTIFS(H22,"&gt;0")</f>
        <v>1</v>
      </c>
      <c r="J22" s="75">
        <f t="shared" ref="J22:J32" si="10">H22*I22</f>
        <v>76.594157339048976</v>
      </c>
      <c r="K22" s="75">
        <f t="shared" ref="K22:K32" si="11">D22*E22</f>
        <v>72</v>
      </c>
      <c r="L22" s="75">
        <f t="shared" ref="L22:L32" si="12">G22-K22</f>
        <v>47.794157339048979</v>
      </c>
      <c r="M22" s="75">
        <f t="shared" ref="M22:M32" si="13">COUNTIFS(L22,"&gt;0")</f>
        <v>1</v>
      </c>
      <c r="N22" s="75">
        <f t="shared" ref="N22:N32" si="14">L22*M22</f>
        <v>47.794157339048979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3</v>
      </c>
      <c r="F23" s="75">
        <f t="shared" si="8"/>
        <v>72.900000000000006</v>
      </c>
      <c r="G23" s="75">
        <f>obliczenia!D81</f>
        <v>119.79415733904898</v>
      </c>
      <c r="H23" s="75">
        <f t="shared" ref="H23:H32" si="15">G23-F23</f>
        <v>46.894157339048974</v>
      </c>
      <c r="I23" s="75">
        <f t="shared" si="9"/>
        <v>1</v>
      </c>
      <c r="J23" s="75">
        <f t="shared" si="10"/>
        <v>46.894157339048974</v>
      </c>
      <c r="K23" s="75">
        <f t="shared" si="11"/>
        <v>121.5</v>
      </c>
      <c r="L23" s="75">
        <f t="shared" si="12"/>
        <v>-1.7058426609510207</v>
      </c>
      <c r="M23" s="75">
        <f t="shared" si="13"/>
        <v>0</v>
      </c>
      <c r="N23" s="75">
        <f t="shared" si="14"/>
        <v>0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3</v>
      </c>
      <c r="F24" s="75">
        <f t="shared" si="8"/>
        <v>96.300000000000011</v>
      </c>
      <c r="G24" s="75">
        <f>obliczenia!D81</f>
        <v>119.79415733904898</v>
      </c>
      <c r="H24" s="75">
        <f t="shared" si="15"/>
        <v>23.494157339048968</v>
      </c>
      <c r="I24" s="75">
        <f t="shared" si="9"/>
        <v>1</v>
      </c>
      <c r="J24" s="75">
        <f t="shared" si="10"/>
        <v>23.494157339048968</v>
      </c>
      <c r="K24" s="75">
        <f t="shared" si="11"/>
        <v>160.5</v>
      </c>
      <c r="L24" s="75">
        <f t="shared" si="12"/>
        <v>-40.705842660951021</v>
      </c>
      <c r="M24" s="75">
        <f t="shared" si="13"/>
        <v>0</v>
      </c>
      <c r="N24" s="75">
        <f t="shared" si="14"/>
        <v>0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3</v>
      </c>
      <c r="F25" s="75">
        <f t="shared" si="8"/>
        <v>122.39999999999999</v>
      </c>
      <c r="G25" s="75">
        <f>obliczenia!D81</f>
        <v>119.79415733904898</v>
      </c>
      <c r="H25" s="75">
        <f t="shared" si="15"/>
        <v>-2.6058426609510121</v>
      </c>
      <c r="I25" s="75">
        <f t="shared" si="9"/>
        <v>0</v>
      </c>
      <c r="J25" s="75">
        <f t="shared" si="10"/>
        <v>0</v>
      </c>
      <c r="K25" s="75">
        <f t="shared" si="11"/>
        <v>204</v>
      </c>
      <c r="L25" s="75">
        <f t="shared" si="12"/>
        <v>-84.205842660951021</v>
      </c>
      <c r="M25" s="75">
        <f t="shared" si="13"/>
        <v>0</v>
      </c>
      <c r="N25" s="75">
        <f t="shared" si="14"/>
        <v>0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3</v>
      </c>
      <c r="F26" s="75">
        <f t="shared" si="8"/>
        <v>118.80000000000001</v>
      </c>
      <c r="G26" s="75">
        <f>obliczenia!D81</f>
        <v>119.79415733904898</v>
      </c>
      <c r="H26" s="75">
        <f t="shared" si="15"/>
        <v>0.99415733904896797</v>
      </c>
      <c r="I26" s="75">
        <f t="shared" si="9"/>
        <v>1</v>
      </c>
      <c r="J26" s="75">
        <f t="shared" si="10"/>
        <v>0.99415733904896797</v>
      </c>
      <c r="K26" s="75">
        <f t="shared" si="11"/>
        <v>198</v>
      </c>
      <c r="L26" s="75">
        <f t="shared" si="12"/>
        <v>-78.205842660951021</v>
      </c>
      <c r="M26" s="75">
        <f t="shared" si="13"/>
        <v>0</v>
      </c>
      <c r="N26" s="75">
        <f t="shared" si="14"/>
        <v>0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3</v>
      </c>
      <c r="F27" s="75">
        <f t="shared" si="8"/>
        <v>119.69999999999999</v>
      </c>
      <c r="G27" s="75">
        <f>obliczenia!D81</f>
        <v>119.79415733904898</v>
      </c>
      <c r="H27" s="75">
        <f t="shared" si="15"/>
        <v>9.4157339048990707E-2</v>
      </c>
      <c r="I27" s="75">
        <f t="shared" si="9"/>
        <v>1</v>
      </c>
      <c r="J27" s="75">
        <f t="shared" si="10"/>
        <v>9.4157339048990707E-2</v>
      </c>
      <c r="K27" s="75">
        <f t="shared" si="11"/>
        <v>199.5</v>
      </c>
      <c r="L27" s="75">
        <f t="shared" si="12"/>
        <v>-79.705842660951021</v>
      </c>
      <c r="M27" s="75">
        <f t="shared" si="13"/>
        <v>0</v>
      </c>
      <c r="N27" s="75">
        <f t="shared" si="14"/>
        <v>0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3</v>
      </c>
      <c r="F28" s="75">
        <f t="shared" si="8"/>
        <v>113.39999999999999</v>
      </c>
      <c r="G28" s="75">
        <f>obliczenia!D81</f>
        <v>119.79415733904898</v>
      </c>
      <c r="H28" s="75">
        <f t="shared" si="15"/>
        <v>6.3941573390489879</v>
      </c>
      <c r="I28" s="75">
        <f t="shared" si="9"/>
        <v>1</v>
      </c>
      <c r="J28" s="75">
        <f t="shared" si="10"/>
        <v>6.3941573390489879</v>
      </c>
      <c r="K28" s="75">
        <f t="shared" si="11"/>
        <v>189</v>
      </c>
      <c r="L28" s="75">
        <f t="shared" si="12"/>
        <v>-69.205842660951021</v>
      </c>
      <c r="M28" s="75">
        <f t="shared" si="13"/>
        <v>0</v>
      </c>
      <c r="N28" s="75">
        <f t="shared" si="14"/>
        <v>0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3</v>
      </c>
      <c r="F29" s="75">
        <f t="shared" si="8"/>
        <v>84.6</v>
      </c>
      <c r="G29" s="75">
        <f>obliczenia!D81</f>
        <v>119.79415733904898</v>
      </c>
      <c r="H29" s="75">
        <f t="shared" si="15"/>
        <v>35.194157339048985</v>
      </c>
      <c r="I29" s="75">
        <f t="shared" si="9"/>
        <v>1</v>
      </c>
      <c r="J29" s="75">
        <f t="shared" si="10"/>
        <v>35.194157339048985</v>
      </c>
      <c r="K29" s="75">
        <f t="shared" si="11"/>
        <v>141</v>
      </c>
      <c r="L29" s="75">
        <f t="shared" si="12"/>
        <v>-21.205842660951021</v>
      </c>
      <c r="M29" s="75">
        <f t="shared" si="13"/>
        <v>0</v>
      </c>
      <c r="N29" s="75">
        <f t="shared" si="14"/>
        <v>0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3</v>
      </c>
      <c r="F30" s="75">
        <f t="shared" si="8"/>
        <v>58.5</v>
      </c>
      <c r="G30" s="75">
        <f>obliczenia!D81</f>
        <v>119.79415733904898</v>
      </c>
      <c r="H30" s="75">
        <f t="shared" si="15"/>
        <v>61.294157339048979</v>
      </c>
      <c r="I30" s="75">
        <f t="shared" si="9"/>
        <v>1</v>
      </c>
      <c r="J30" s="75">
        <f t="shared" si="10"/>
        <v>61.294157339048979</v>
      </c>
      <c r="K30" s="75">
        <f t="shared" si="11"/>
        <v>97.5</v>
      </c>
      <c r="L30" s="75">
        <f t="shared" si="12"/>
        <v>22.294157339048979</v>
      </c>
      <c r="M30" s="75">
        <f t="shared" si="13"/>
        <v>1</v>
      </c>
      <c r="N30" s="75">
        <f t="shared" si="14"/>
        <v>22.294157339048979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3</v>
      </c>
      <c r="F31" s="75">
        <f t="shared" si="8"/>
        <v>27</v>
      </c>
      <c r="G31" s="75">
        <f>obliczenia!D81</f>
        <v>119.79415733904898</v>
      </c>
      <c r="H31" s="75">
        <f t="shared" si="15"/>
        <v>92.794157339048979</v>
      </c>
      <c r="I31" s="75">
        <f t="shared" si="9"/>
        <v>1</v>
      </c>
      <c r="J31" s="75">
        <f t="shared" si="10"/>
        <v>92.794157339048979</v>
      </c>
      <c r="K31" s="75">
        <f t="shared" si="11"/>
        <v>45</v>
      </c>
      <c r="L31" s="75">
        <f t="shared" si="12"/>
        <v>74.794157339048979</v>
      </c>
      <c r="M31" s="75">
        <f t="shared" si="13"/>
        <v>1</v>
      </c>
      <c r="N31" s="75">
        <f t="shared" si="14"/>
        <v>74.794157339048979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3</v>
      </c>
      <c r="F32" s="75">
        <f t="shared" si="8"/>
        <v>17.100000000000001</v>
      </c>
      <c r="G32" s="75">
        <f>obliczenia!D81</f>
        <v>119.79415733904898</v>
      </c>
      <c r="H32" s="75">
        <f t="shared" si="15"/>
        <v>102.69415733904899</v>
      </c>
      <c r="I32" s="75">
        <f t="shared" si="9"/>
        <v>1</v>
      </c>
      <c r="J32" s="75">
        <f t="shared" si="10"/>
        <v>102.69415733904899</v>
      </c>
      <c r="K32" s="75">
        <f t="shared" si="11"/>
        <v>28.5</v>
      </c>
      <c r="L32" s="75">
        <f t="shared" si="12"/>
        <v>91.294157339048979</v>
      </c>
      <c r="M32" s="75">
        <f t="shared" si="13"/>
        <v>1</v>
      </c>
      <c r="N32" s="75">
        <f t="shared" si="14"/>
        <v>91.294157339048979</v>
      </c>
    </row>
    <row r="34" spans="6:14">
      <c r="F34" s="60">
        <f>SUM(F21:F32)</f>
        <v>899.1</v>
      </c>
      <c r="G34" s="60">
        <f>SUM(G21:G32)</f>
        <v>1437.5298880685878</v>
      </c>
      <c r="J34" s="60">
        <f>SUM(J21:J32)</f>
        <v>541.03573072953873</v>
      </c>
      <c r="K34" s="60">
        <f>SUM(K21:K32)</f>
        <v>1498.5</v>
      </c>
      <c r="N34" s="60">
        <f>SUM(N21:N32)</f>
        <v>313.9707866952449</v>
      </c>
    </row>
    <row r="35" spans="6:14">
      <c r="J35" s="126">
        <f>G34-J34</f>
        <v>896.49415733904902</v>
      </c>
      <c r="N35" s="126">
        <f>G34-N34</f>
        <v>1123.5591013733429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290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291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292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293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347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348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187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312</v>
      </c>
      <c r="C2" s="60"/>
      <c r="D2" s="60"/>
      <c r="E2" s="60"/>
      <c r="I2" s="219" t="s">
        <v>335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342</v>
      </c>
      <c r="D3" s="127" t="s">
        <v>343</v>
      </c>
      <c r="E3" s="127" t="s">
        <v>63</v>
      </c>
      <c r="F3" s="61" t="s">
        <v>23</v>
      </c>
      <c r="G3" s="61" t="s">
        <v>201</v>
      </c>
      <c r="H3" s="61" t="s">
        <v>202</v>
      </c>
      <c r="I3" s="127" t="s">
        <v>334</v>
      </c>
      <c r="J3" s="127" t="s">
        <v>332</v>
      </c>
      <c r="K3" s="127" t="s">
        <v>333</v>
      </c>
      <c r="L3" s="127" t="s">
        <v>344</v>
      </c>
      <c r="M3" s="127" t="s">
        <v>342</v>
      </c>
    </row>
    <row r="4" spans="1:13" ht="15">
      <c r="A4" t="s">
        <v>310</v>
      </c>
      <c r="B4" s="113" t="s">
        <v>322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311</v>
      </c>
      <c r="B5" s="125" t="s">
        <v>320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310</v>
      </c>
      <c r="B6" s="113" t="s">
        <v>321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327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326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328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228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311</v>
      </c>
      <c r="B22" s="113" t="s">
        <v>309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311</v>
      </c>
      <c r="B23" s="125" t="s">
        <v>319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310</v>
      </c>
      <c r="B24" s="125" t="s">
        <v>345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310</v>
      </c>
      <c r="B25" s="113" t="s">
        <v>205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311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311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236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307</v>
      </c>
      <c r="J31" s="218"/>
      <c r="K31" s="217" t="s">
        <v>308</v>
      </c>
      <c r="L31" s="218"/>
    </row>
    <row r="32" spans="1:13" ht="45">
      <c r="B32" s="153" t="s">
        <v>206</v>
      </c>
      <c r="C32" s="154" t="s">
        <v>207</v>
      </c>
      <c r="D32" s="154" t="s">
        <v>207</v>
      </c>
      <c r="E32" s="154" t="s">
        <v>207</v>
      </c>
      <c r="F32" s="154" t="s">
        <v>208</v>
      </c>
      <c r="G32" s="154" t="s">
        <v>208</v>
      </c>
      <c r="H32" s="127" t="s">
        <v>294</v>
      </c>
      <c r="I32" s="154" t="s">
        <v>223</v>
      </c>
      <c r="J32" s="154" t="s">
        <v>224</v>
      </c>
      <c r="K32" s="154" t="s">
        <v>223</v>
      </c>
      <c r="L32" s="154" t="s">
        <v>224</v>
      </c>
    </row>
    <row r="33" spans="2:12" ht="15">
      <c r="B33" s="74" t="s">
        <v>66</v>
      </c>
      <c r="C33" s="155" t="s">
        <v>209</v>
      </c>
      <c r="D33" s="155" t="s">
        <v>210</v>
      </c>
      <c r="E33" s="75" t="s">
        <v>257</v>
      </c>
      <c r="F33" s="155" t="s">
        <v>211</v>
      </c>
      <c r="G33" s="155" t="s">
        <v>179</v>
      </c>
      <c r="H33" s="1"/>
      <c r="I33" s="155" t="s">
        <v>213</v>
      </c>
      <c r="J33" s="155" t="s">
        <v>213</v>
      </c>
      <c r="K33" s="155" t="s">
        <v>213</v>
      </c>
      <c r="L33" s="155" t="s">
        <v>213</v>
      </c>
    </row>
    <row r="34" spans="2:12" ht="15">
      <c r="B34" s="116" t="s">
        <v>324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220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212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214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221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215</v>
      </c>
      <c r="C40" s="1"/>
      <c r="D40" s="1"/>
      <c r="E40" s="170">
        <v>1</v>
      </c>
      <c r="F40" s="194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222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331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330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217</v>
      </c>
    </row>
    <row r="48" spans="2:12">
      <c r="B48" s="157" t="s">
        <v>216</v>
      </c>
    </row>
    <row r="49" spans="2:11">
      <c r="B49" s="158" t="s">
        <v>218</v>
      </c>
      <c r="K49" s="178"/>
    </row>
    <row r="50" spans="2:11">
      <c r="B50" s="158" t="s">
        <v>230</v>
      </c>
    </row>
    <row r="51" spans="2:11">
      <c r="B51" s="181" t="s">
        <v>329</v>
      </c>
    </row>
    <row r="53" spans="2:11">
      <c r="B53" s="99" t="s">
        <v>190</v>
      </c>
      <c r="C53" s="99" t="s">
        <v>193</v>
      </c>
      <c r="D53" s="99" t="s">
        <v>196</v>
      </c>
      <c r="E53" s="99" t="s">
        <v>194</v>
      </c>
      <c r="F53" s="99" t="s">
        <v>197</v>
      </c>
    </row>
    <row r="54" spans="2:11" ht="15">
      <c r="B54" s="100" t="s">
        <v>231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325</v>
      </c>
    </row>
    <row r="55" spans="2:11">
      <c r="B55" s="100" t="s">
        <v>220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214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232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233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234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Katarzyna Lisiecka-Mika</cp:lastModifiedBy>
  <dcterms:created xsi:type="dcterms:W3CDTF">2018-09-12T11:08:44Z</dcterms:created>
  <dcterms:modified xsi:type="dcterms:W3CDTF">2018-11-06T07:38:43Z</dcterms:modified>
</cp:coreProperties>
</file>